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cgovict-my.sharepoint.com/personal/tolmstead_psc_dc_gov/Documents/Documents/Analysis/"/>
    </mc:Choice>
  </mc:AlternateContent>
  <xr:revisionPtr revIDLastSave="149" documentId="8_{369A158E-37D7-4865-9248-8D1BB799A4C9}" xr6:coauthVersionLast="47" xr6:coauthVersionMax="47" xr10:uidLastSave="{BEDEBBD0-B822-4E5B-B88D-5579CD1778E5}"/>
  <bookViews>
    <workbookView xWindow="-98" yWindow="-98" windowWidth="21795" windowHeight="12975" xr2:uid="{71D9C12F-3D3A-442E-98CA-EAA18E7DF7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H10" i="1"/>
  <c r="G10" i="1"/>
  <c r="E10" i="1"/>
  <c r="C10" i="1"/>
  <c r="C6" i="1"/>
  <c r="J12" i="1" s="1"/>
  <c r="C5" i="1"/>
  <c r="D10" i="1"/>
  <c r="B5" i="1"/>
  <c r="B6" i="1"/>
  <c r="I29" i="1" s="1"/>
  <c r="L6" i="1"/>
  <c r="L5" i="1"/>
  <c r="L3" i="1" s="1"/>
  <c r="J20" i="1" l="1"/>
  <c r="J19" i="1"/>
  <c r="J11" i="1"/>
  <c r="J13" i="1"/>
  <c r="J10" i="1"/>
  <c r="J28" i="1"/>
  <c r="J29" i="1"/>
  <c r="J27" i="1"/>
  <c r="J21" i="1"/>
  <c r="C7" i="1"/>
  <c r="L13" i="1" s="1"/>
  <c r="I21" i="1"/>
  <c r="I24" i="1"/>
  <c r="B7" i="1"/>
  <c r="D29" i="1" s="1"/>
  <c r="I25" i="1"/>
  <c r="I17" i="1"/>
  <c r="I16" i="1"/>
  <c r="L4" i="1"/>
  <c r="I13" i="1"/>
  <c r="I23" i="1"/>
  <c r="I15" i="1"/>
  <c r="I22" i="1"/>
  <c r="I14" i="1"/>
  <c r="I28" i="1"/>
  <c r="I20" i="1"/>
  <c r="I12" i="1"/>
  <c r="I27" i="1"/>
  <c r="I19" i="1"/>
  <c r="I11" i="1"/>
  <c r="I10" i="1"/>
  <c r="I26" i="1"/>
  <c r="I18" i="1"/>
  <c r="J26" i="1"/>
  <c r="J18" i="1"/>
  <c r="J25" i="1"/>
  <c r="J17" i="1"/>
  <c r="J24" i="1"/>
  <c r="J16" i="1"/>
  <c r="K31" i="1"/>
  <c r="J23" i="1"/>
  <c r="J15" i="1"/>
  <c r="J22" i="1"/>
  <c r="J14" i="1"/>
  <c r="B29" i="1"/>
  <c r="B22" i="1"/>
  <c r="B15" i="1"/>
  <c r="D24" i="1"/>
  <c r="C18" i="1" l="1"/>
  <c r="C24" i="1"/>
  <c r="C14" i="1"/>
  <c r="C19" i="1"/>
  <c r="C11" i="1"/>
  <c r="K10" i="1"/>
  <c r="C29" i="1"/>
  <c r="C27" i="1"/>
  <c r="C26" i="1"/>
  <c r="C16" i="1"/>
  <c r="C21" i="1"/>
  <c r="C25" i="1"/>
  <c r="C13" i="1"/>
  <c r="C23" i="1"/>
  <c r="C28" i="1"/>
  <c r="C15" i="1"/>
  <c r="C12" i="1"/>
  <c r="C20" i="1"/>
  <c r="C22" i="1"/>
  <c r="C17" i="1"/>
  <c r="D14" i="1"/>
  <c r="B19" i="1"/>
  <c r="B24" i="1"/>
  <c r="B12" i="1"/>
  <c r="J30" i="1"/>
  <c r="B17" i="1"/>
  <c r="D16" i="1"/>
  <c r="E16" i="1" s="1"/>
  <c r="B28" i="1"/>
  <c r="D23" i="1"/>
  <c r="E23" i="1" s="1"/>
  <c r="D17" i="1"/>
  <c r="B27" i="1"/>
  <c r="D22" i="1"/>
  <c r="E22" i="1" s="1"/>
  <c r="B14" i="1"/>
  <c r="B16" i="1"/>
  <c r="B20" i="1"/>
  <c r="D27" i="1"/>
  <c r="E27" i="1" s="1"/>
  <c r="D28" i="1"/>
  <c r="E28" i="1" s="1"/>
  <c r="D13" i="1"/>
  <c r="E13" i="1" s="1"/>
  <c r="D18" i="1"/>
  <c r="E18" i="1" s="1"/>
  <c r="B13" i="1"/>
  <c r="D25" i="1"/>
  <c r="B25" i="1"/>
  <c r="B21" i="1"/>
  <c r="B11" i="1"/>
  <c r="D21" i="1"/>
  <c r="E21" i="1" s="1"/>
  <c r="I30" i="1"/>
  <c r="L10" i="1" s="1"/>
  <c r="B10" i="1"/>
  <c r="D19" i="1"/>
  <c r="E19" i="1" s="1"/>
  <c r="B23" i="1"/>
  <c r="D15" i="1"/>
  <c r="E15" i="1" s="1"/>
  <c r="D20" i="1"/>
  <c r="E20" i="1" s="1"/>
  <c r="B26" i="1"/>
  <c r="D12" i="1"/>
  <c r="E12" i="1" s="1"/>
  <c r="D26" i="1"/>
  <c r="E26" i="1" s="1"/>
  <c r="D11" i="1"/>
  <c r="B18" i="1"/>
  <c r="F10" i="1"/>
  <c r="F26" i="1"/>
  <c r="F12" i="1"/>
  <c r="F11" i="1"/>
  <c r="F19" i="1"/>
  <c r="F27" i="1"/>
  <c r="F24" i="1"/>
  <c r="F14" i="1"/>
  <c r="F20" i="1"/>
  <c r="F13" i="1"/>
  <c r="F22" i="1"/>
  <c r="E14" i="1"/>
  <c r="F16" i="1"/>
  <c r="F28" i="1"/>
  <c r="F17" i="1"/>
  <c r="F15" i="1"/>
  <c r="E17" i="1"/>
  <c r="F21" i="1"/>
  <c r="F23" i="1"/>
  <c r="F18" i="1"/>
  <c r="F25" i="1"/>
  <c r="F29" i="1"/>
  <c r="E25" i="1"/>
  <c r="E24" i="1"/>
  <c r="C30" i="1" l="1"/>
  <c r="B30" i="1"/>
  <c r="D30" i="1"/>
  <c r="F30" i="1"/>
  <c r="E11" i="1"/>
  <c r="E30" i="1" s="1"/>
  <c r="H29" i="1"/>
  <c r="K29" i="1" s="1"/>
  <c r="H16" i="1"/>
  <c r="H22" i="1"/>
  <c r="H20" i="1"/>
  <c r="G29" i="1"/>
  <c r="G11" i="1"/>
  <c r="G21" i="1"/>
  <c r="G17" i="1"/>
  <c r="H19" i="1"/>
  <c r="H25" i="1"/>
  <c r="G16" i="1"/>
  <c r="H27" i="1"/>
  <c r="G26" i="1"/>
  <c r="G27" i="1"/>
  <c r="G22" i="1"/>
  <c r="H13" i="1"/>
  <c r="K13" i="1" s="1"/>
  <c r="G25" i="1"/>
  <c r="H23" i="1"/>
  <c r="H21" i="1"/>
  <c r="G19" i="1"/>
  <c r="G20" i="1"/>
  <c r="G18" i="1"/>
  <c r="G14" i="1"/>
  <c r="G15" i="1"/>
  <c r="H18" i="1"/>
  <c r="H26" i="1"/>
  <c r="H24" i="1"/>
  <c r="G13" i="1"/>
  <c r="G28" i="1"/>
  <c r="H12" i="1"/>
  <c r="G24" i="1"/>
  <c r="H15" i="1"/>
  <c r="H17" i="1"/>
  <c r="H28" i="1"/>
  <c r="G12" i="1"/>
  <c r="G23" i="1"/>
  <c r="H14" i="1"/>
  <c r="H11" i="1" l="1"/>
  <c r="K16" i="1"/>
  <c r="K22" i="1"/>
  <c r="G30" i="1"/>
  <c r="K25" i="1"/>
  <c r="K20" i="1"/>
  <c r="K26" i="1"/>
  <c r="K21" i="1"/>
  <c r="K17" i="1"/>
  <c r="K23" i="1"/>
  <c r="K12" i="1"/>
  <c r="K27" i="1"/>
  <c r="K14" i="1"/>
  <c r="K18" i="1"/>
  <c r="K19" i="1"/>
  <c r="K24" i="1"/>
  <c r="K28" i="1"/>
  <c r="K15" i="1"/>
  <c r="K11" i="1" l="1"/>
  <c r="K30" i="1" s="1"/>
  <c r="K32" i="1" s="1"/>
  <c r="L11" i="1"/>
  <c r="L23" i="1"/>
  <c r="L27" i="1"/>
  <c r="L24" i="1"/>
  <c r="L17" i="1"/>
  <c r="L25" i="1"/>
  <c r="L22" i="1"/>
  <c r="L26" i="1"/>
  <c r="L15" i="1"/>
  <c r="L19" i="1"/>
  <c r="L16" i="1"/>
  <c r="L12" i="1"/>
  <c r="L20" i="1"/>
  <c r="L29" i="1"/>
  <c r="L21" i="1"/>
  <c r="L28" i="1"/>
  <c r="L14" i="1"/>
  <c r="L18" i="1"/>
  <c r="H30" i="1"/>
</calcChain>
</file>

<file path=xl/sharedStrings.xml><?xml version="1.0" encoding="utf-8"?>
<sst xmlns="http://schemas.openxmlformats.org/spreadsheetml/2006/main" count="62" uniqueCount="55">
  <si>
    <t>PV Size East</t>
  </si>
  <si>
    <t>PV Size West</t>
  </si>
  <si>
    <t>Output</t>
  </si>
  <si>
    <t>PVWatts Output</t>
  </si>
  <si>
    <t>SREC Price</t>
  </si>
  <si>
    <t>PV loss in a yr</t>
  </si>
  <si>
    <t>PVWatts System Capacity kW</t>
  </si>
  <si>
    <t>Installation Cost $/kW</t>
  </si>
  <si>
    <t>Electric bill $/kWh</t>
  </si>
  <si>
    <t>Solar Grid Savings/Cost</t>
  </si>
  <si>
    <t>Install Cost</t>
  </si>
  <si>
    <t>SREC Revenue</t>
  </si>
  <si>
    <t>Ratio kWh to kW</t>
  </si>
  <si>
    <t xml:space="preserve">Annual Electric bill Consumption kWh </t>
  </si>
  <si>
    <t>Annual Electric bill</t>
  </si>
  <si>
    <t>Tax credit</t>
  </si>
  <si>
    <t>Savings/Cost Install</t>
  </si>
  <si>
    <t>Tax Credit</t>
  </si>
  <si>
    <t>Years for loss</t>
  </si>
  <si>
    <t>key</t>
  </si>
  <si>
    <t>Assumptions</t>
  </si>
  <si>
    <t>System Assumptions</t>
  </si>
  <si>
    <t>Yr 1</t>
  </si>
  <si>
    <t>Yr 2</t>
  </si>
  <si>
    <t>Yr 3</t>
  </si>
  <si>
    <t>Yr 4</t>
  </si>
  <si>
    <t>Yr 5</t>
  </si>
  <si>
    <t>Yr 6</t>
  </si>
  <si>
    <t>Yr 7</t>
  </si>
  <si>
    <t>Yr 8</t>
  </si>
  <si>
    <t>Yr 9</t>
  </si>
  <si>
    <t>Yr 10</t>
  </si>
  <si>
    <t>Yr 11</t>
  </si>
  <si>
    <t>Yr 12</t>
  </si>
  <si>
    <t>Yr 13</t>
  </si>
  <si>
    <t>Yr 14</t>
  </si>
  <si>
    <t>Yr 15</t>
  </si>
  <si>
    <t>Yr 16</t>
  </si>
  <si>
    <t>Yr 17</t>
  </si>
  <si>
    <t>Yr 18</t>
  </si>
  <si>
    <t>Yr 19</t>
  </si>
  <si>
    <t>Yr 20</t>
  </si>
  <si>
    <t>Change these to maximize your install (kW)</t>
  </si>
  <si>
    <t xml:space="preserve">PV Size East </t>
  </si>
  <si>
    <t>PV Size East after PV west export</t>
  </si>
  <si>
    <t>Change cells-based on inputs</t>
  </si>
  <si>
    <t>Solar to grid (kW)</t>
  </si>
  <si>
    <t>Total Gain/loss</t>
  </si>
  <si>
    <t>Totals</t>
  </si>
  <si>
    <t>Electric bill $/kWh net generation</t>
  </si>
  <si>
    <t>Customer Charge</t>
  </si>
  <si>
    <t>Annual Savings/Cost</t>
  </si>
  <si>
    <t>Payoff Year</t>
  </si>
  <si>
    <t>PVWatts-change cells: use tool here:</t>
  </si>
  <si>
    <t>https://pvwatts.nlr.gov/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</si>
</sst>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&quot;$&quot;* #,##0_);_(&quot;$&quot;* \(#,##0\);_(&quot;$&quot;* &quot;-&quot;??_);_(@_)"/>
    <numFmt numFmtId="167" formatCode="_(* #,##0.0_);_(* \(#,##0.0\);_(* &quot;-&quot;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43" fontId="0" fillId="0" borderId="0" xfId="0" applyNumberFormat="1"/>
    <xf numFmtId="0" fontId="0" fillId="0" borderId="0" xfId="0" applyAlignment="1">
      <alignment horizontal="center" vertical="center"/>
    </xf>
    <xf numFmtId="0" fontId="0" fillId="0" borderId="7" xfId="0" applyBorder="1"/>
    <xf numFmtId="0" fontId="0" fillId="4" borderId="10" xfId="0" applyFill="1" applyBorder="1"/>
    <xf numFmtId="0" fontId="0" fillId="2" borderId="11" xfId="0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1" xfId="0" applyBorder="1"/>
    <xf numFmtId="166" fontId="0" fillId="2" borderId="21" xfId="2" applyNumberFormat="1" applyFont="1" applyFill="1" applyBorder="1"/>
    <xf numFmtId="9" fontId="0" fillId="2" borderId="21" xfId="3" applyFont="1" applyFill="1" applyBorder="1"/>
    <xf numFmtId="0" fontId="0" fillId="0" borderId="22" xfId="0" applyBorder="1"/>
    <xf numFmtId="44" fontId="0" fillId="0" borderId="23" xfId="2" applyFont="1" applyFill="1" applyBorder="1"/>
    <xf numFmtId="165" fontId="0" fillId="2" borderId="23" xfId="1" applyNumberFormat="1" applyFont="1" applyFill="1" applyBorder="1"/>
    <xf numFmtId="44" fontId="0" fillId="0" borderId="10" xfId="2" applyFont="1" applyBorder="1" applyAlignment="1">
      <alignment horizontal="right" wrapText="1"/>
    </xf>
    <xf numFmtId="44" fontId="0" fillId="0" borderId="0" xfId="2" applyFont="1" applyBorder="1"/>
    <xf numFmtId="44" fontId="0" fillId="0" borderId="5" xfId="2" applyFont="1" applyBorder="1"/>
    <xf numFmtId="44" fontId="0" fillId="0" borderId="4" xfId="2" applyFont="1" applyBorder="1"/>
    <xf numFmtId="44" fontId="0" fillId="0" borderId="10" xfId="2" applyFont="1" applyBorder="1"/>
    <xf numFmtId="44" fontId="0" fillId="0" borderId="0" xfId="2" applyFont="1"/>
    <xf numFmtId="44" fontId="0" fillId="0" borderId="11" xfId="2" applyFont="1" applyBorder="1" applyAlignment="1">
      <alignment horizontal="right" wrapText="1"/>
    </xf>
    <xf numFmtId="44" fontId="0" fillId="0" borderId="7" xfId="2" applyFont="1" applyBorder="1"/>
    <xf numFmtId="44" fontId="0" fillId="0" borderId="8" xfId="2" applyFont="1" applyBorder="1"/>
    <xf numFmtId="44" fontId="0" fillId="0" borderId="6" xfId="2" applyFont="1" applyBorder="1"/>
    <xf numFmtId="44" fontId="0" fillId="0" borderId="11" xfId="2" applyFont="1" applyBorder="1"/>
    <xf numFmtId="44" fontId="0" fillId="0" borderId="0" xfId="2" applyFont="1" applyAlignment="1">
      <alignment wrapText="1"/>
    </xf>
    <xf numFmtId="44" fontId="2" fillId="0" borderId="12" xfId="2" applyFont="1" applyBorder="1"/>
    <xf numFmtId="44" fontId="2" fillId="0" borderId="0" xfId="2" applyFont="1"/>
    <xf numFmtId="44" fontId="2" fillId="3" borderId="0" xfId="2" applyFont="1" applyFill="1"/>
    <xf numFmtId="44" fontId="2" fillId="0" borderId="0" xfId="2" applyFont="1" applyAlignment="1">
      <alignment horizontal="left" vertical="center"/>
    </xf>
    <xf numFmtId="44" fontId="2" fillId="0" borderId="0" xfId="2" applyFont="1" applyAlignment="1">
      <alignment horizontal="left"/>
    </xf>
    <xf numFmtId="43" fontId="0" fillId="0" borderId="0" xfId="1" applyFont="1" applyBorder="1"/>
    <xf numFmtId="43" fontId="0" fillId="0" borderId="7" xfId="1" applyFont="1" applyBorder="1"/>
    <xf numFmtId="43" fontId="2" fillId="0" borderId="12" xfId="1" applyFont="1" applyBorder="1"/>
    <xf numFmtId="167" fontId="0" fillId="0" borderId="0" xfId="0" applyNumberFormat="1"/>
    <xf numFmtId="44" fontId="2" fillId="0" borderId="0" xfId="2" applyFont="1" applyAlignment="1">
      <alignment horizontal="right" wrapText="1"/>
    </xf>
    <xf numFmtId="44" fontId="2" fillId="3" borderId="12" xfId="2" applyFont="1" applyFill="1" applyBorder="1"/>
    <xf numFmtId="0" fontId="0" fillId="0" borderId="25" xfId="0" applyBorder="1"/>
    <xf numFmtId="166" fontId="0" fillId="2" borderId="26" xfId="2" applyNumberFormat="1" applyFont="1" applyFill="1" applyBorder="1"/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0" fillId="5" borderId="19" xfId="2" applyFont="1" applyFill="1" applyBorder="1" applyAlignment="1">
      <alignment horizontal="center" vertical="center"/>
    </xf>
    <xf numFmtId="0" fontId="0" fillId="0" borderId="6" xfId="0" applyBorder="1"/>
    <xf numFmtId="165" fontId="0" fillId="0" borderId="0" xfId="1" applyNumberFormat="1" applyFont="1" applyAlignment="1">
      <alignment vertical="center"/>
    </xf>
    <xf numFmtId="165" fontId="0" fillId="0" borderId="0" xfId="1" applyNumberFormat="1" applyFont="1"/>
    <xf numFmtId="165" fontId="0" fillId="0" borderId="0" xfId="1" applyNumberFormat="1" applyFont="1" applyAlignment="1">
      <alignment horizontal="center" vertical="center"/>
    </xf>
    <xf numFmtId="0" fontId="0" fillId="0" borderId="21" xfId="0" applyBorder="1" applyAlignment="1">
      <alignment vertical="center"/>
    </xf>
    <xf numFmtId="164" fontId="0" fillId="4" borderId="21" xfId="1" applyNumberFormat="1" applyFont="1" applyFill="1" applyBorder="1"/>
    <xf numFmtId="164" fontId="0" fillId="0" borderId="21" xfId="1" applyNumberFormat="1" applyFont="1" applyBorder="1"/>
    <xf numFmtId="164" fontId="0" fillId="2" borderId="21" xfId="1" applyNumberFormat="1" applyFont="1" applyFill="1" applyBorder="1"/>
    <xf numFmtId="0" fontId="2" fillId="0" borderId="27" xfId="0" applyFont="1" applyBorder="1" applyAlignment="1">
      <alignment vertical="center" wrapText="1"/>
    </xf>
    <xf numFmtId="0" fontId="0" fillId="0" borderId="28" xfId="0" applyBorder="1" applyAlignment="1">
      <alignment vertical="center"/>
    </xf>
    <xf numFmtId="0" fontId="2" fillId="0" borderId="22" xfId="0" applyFont="1" applyBorder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22" xfId="0" applyBorder="1" applyAlignment="1">
      <alignment wrapText="1"/>
    </xf>
    <xf numFmtId="164" fontId="0" fillId="0" borderId="23" xfId="1" applyNumberFormat="1" applyFont="1" applyBorder="1"/>
    <xf numFmtId="164" fontId="0" fillId="2" borderId="23" xfId="1" applyNumberFormat="1" applyFont="1" applyFill="1" applyBorder="1"/>
    <xf numFmtId="0" fontId="0" fillId="0" borderId="24" xfId="0" applyBorder="1" applyAlignment="1">
      <alignment wrapText="1"/>
    </xf>
    <xf numFmtId="164" fontId="0" fillId="0" borderId="25" xfId="1" applyNumberFormat="1" applyFont="1" applyBorder="1"/>
    <xf numFmtId="164" fontId="0" fillId="0" borderId="26" xfId="1" applyNumberFormat="1" applyFont="1" applyBorder="1"/>
    <xf numFmtId="44" fontId="0" fillId="0" borderId="9" xfId="2" applyFont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0" xfId="4"/>
    <xf numFmtId="0" fontId="2" fillId="3" borderId="9" xfId="0" applyFont="1" applyFill="1" applyBorder="1" applyAlignment="1">
      <alignment horizontal="center" vertical="center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vwatts.nlr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C7E3-FA83-425B-BF62-B3BF20E9B6CF}">
  <dimension ref="A1:P33"/>
  <sheetViews>
    <sheetView tabSelected="1" topLeftCell="A9" zoomScaleNormal="100" workbookViewId="0">
      <selection activeCell="E6" sqref="E6"/>
    </sheetView>
  </sheetViews>
  <sheetFormatPr defaultRowHeight="14.25" x14ac:dyDescent="0.45"/>
  <cols>
    <col min="1" max="1" width="19.06640625" style="6" bestFit="1" customWidth="1"/>
    <col min="2" max="2" width="11.33203125" bestFit="1" customWidth="1"/>
    <col min="3" max="3" width="11.19921875" bestFit="1" customWidth="1"/>
    <col min="4" max="4" width="11.9296875" bestFit="1" customWidth="1"/>
    <col min="5" max="5" width="29.73046875" bestFit="1" customWidth="1"/>
    <col min="6" max="6" width="10.73046875" customWidth="1"/>
    <col min="7" max="7" width="11.265625" bestFit="1" customWidth="1"/>
    <col min="8" max="8" width="20" bestFit="1" customWidth="1"/>
    <col min="9" max="9" width="12.9296875" bestFit="1" customWidth="1"/>
    <col min="10" max="10" width="10.9296875" bestFit="1" customWidth="1"/>
    <col min="11" max="11" width="34" bestFit="1" customWidth="1"/>
    <col min="12" max="12" width="10.46484375" bestFit="1" customWidth="1"/>
    <col min="16" max="16" width="12.06640625" style="50" hidden="1" customWidth="1"/>
  </cols>
  <sheetData>
    <row r="1" spans="1:16" s="7" customFormat="1" x14ac:dyDescent="0.45">
      <c r="A1" s="56" t="s">
        <v>21</v>
      </c>
      <c r="B1" s="57" t="s">
        <v>1</v>
      </c>
      <c r="C1" s="8" t="s">
        <v>0</v>
      </c>
      <c r="E1" s="77" t="s">
        <v>19</v>
      </c>
      <c r="H1" s="73" t="s">
        <v>20</v>
      </c>
      <c r="I1" s="74"/>
      <c r="J1" s="74"/>
      <c r="K1" s="74"/>
      <c r="L1" s="75"/>
      <c r="P1" s="49"/>
    </row>
    <row r="2" spans="1:16" s="7" customFormat="1" x14ac:dyDescent="0.45">
      <c r="A2" s="58"/>
      <c r="B2" s="52"/>
      <c r="C2" s="59"/>
      <c r="E2" s="45"/>
      <c r="H2" s="17" t="s">
        <v>4</v>
      </c>
      <c r="I2" s="15">
        <v>53</v>
      </c>
      <c r="J2" s="46"/>
      <c r="K2" s="14" t="s">
        <v>50</v>
      </c>
      <c r="L2" s="47">
        <v>10</v>
      </c>
      <c r="P2" s="49"/>
    </row>
    <row r="3" spans="1:16" ht="28.5" x14ac:dyDescent="0.45">
      <c r="A3" s="60" t="s">
        <v>6</v>
      </c>
      <c r="B3" s="53">
        <v>11.9</v>
      </c>
      <c r="C3" s="53">
        <v>11.9</v>
      </c>
      <c r="E3" s="4" t="s">
        <v>53</v>
      </c>
      <c r="F3" s="76" t="s">
        <v>54</v>
      </c>
      <c r="H3" s="17" t="s">
        <v>5</v>
      </c>
      <c r="I3" s="16">
        <v>0.01</v>
      </c>
      <c r="K3" s="14" t="s">
        <v>49</v>
      </c>
      <c r="L3" s="18">
        <f>(L6-L2*12)/L5</f>
        <v>0.25364583333333335</v>
      </c>
    </row>
    <row r="4" spans="1:16" ht="14.65" thickBot="1" x14ac:dyDescent="0.5">
      <c r="A4" s="60" t="s">
        <v>3</v>
      </c>
      <c r="B4" s="53">
        <v>16579</v>
      </c>
      <c r="C4" s="53">
        <v>16579</v>
      </c>
      <c r="E4" s="5" t="s">
        <v>45</v>
      </c>
      <c r="H4" s="17" t="s">
        <v>7</v>
      </c>
      <c r="I4" s="15">
        <v>2500</v>
      </c>
      <c r="K4" s="14" t="s">
        <v>8</v>
      </c>
      <c r="L4" s="18">
        <f>L6/L5</f>
        <v>0.28489583333333335</v>
      </c>
    </row>
    <row r="5" spans="1:16" x14ac:dyDescent="0.45">
      <c r="A5" s="60" t="s">
        <v>12</v>
      </c>
      <c r="B5" s="54">
        <f>B4/B3</f>
        <v>1393.1932773109243</v>
      </c>
      <c r="C5" s="61">
        <f>IFERROR(C4/C3,0)</f>
        <v>1393.1932773109243</v>
      </c>
      <c r="H5" s="17" t="s">
        <v>15</v>
      </c>
      <c r="I5" s="16">
        <v>0</v>
      </c>
      <c r="K5" s="14" t="s">
        <v>13</v>
      </c>
      <c r="L5" s="19">
        <f>320*12</f>
        <v>3840</v>
      </c>
    </row>
    <row r="6" spans="1:16" ht="43.15" thickBot="1" x14ac:dyDescent="0.5">
      <c r="A6" s="60" t="s">
        <v>42</v>
      </c>
      <c r="B6" s="55">
        <f>B3</f>
        <v>11.9</v>
      </c>
      <c r="C6" s="62">
        <f>C3</f>
        <v>11.9</v>
      </c>
      <c r="E6" s="40"/>
      <c r="H6" s="48"/>
      <c r="I6" s="3"/>
      <c r="J6" s="3"/>
      <c r="K6" s="43" t="s">
        <v>14</v>
      </c>
      <c r="L6" s="44">
        <f>161+173+62+87+80+75+90+78+45+77+72+94</f>
        <v>1094</v>
      </c>
    </row>
    <row r="7" spans="1:16" ht="14.65" thickBot="1" x14ac:dyDescent="0.5">
      <c r="A7" s="63" t="s">
        <v>2</v>
      </c>
      <c r="B7" s="64">
        <f>B6*B5</f>
        <v>16579</v>
      </c>
      <c r="C7" s="65">
        <f>C6*C5</f>
        <v>16579</v>
      </c>
    </row>
    <row r="8" spans="1:16" x14ac:dyDescent="0.45">
      <c r="B8" s="67" t="s">
        <v>11</v>
      </c>
      <c r="C8" s="68"/>
      <c r="D8" s="72" t="s">
        <v>46</v>
      </c>
      <c r="E8" s="72"/>
      <c r="F8" s="72"/>
      <c r="G8" s="67" t="s">
        <v>9</v>
      </c>
      <c r="H8" s="68"/>
      <c r="I8" s="72" t="s">
        <v>10</v>
      </c>
      <c r="J8" s="68"/>
      <c r="K8" s="69" t="s">
        <v>51</v>
      </c>
      <c r="L8" s="69" t="s">
        <v>52</v>
      </c>
    </row>
    <row r="9" spans="1:16" s="2" customFormat="1" ht="63" customHeight="1" thickBot="1" x14ac:dyDescent="0.5">
      <c r="A9" s="13"/>
      <c r="B9" s="10" t="s">
        <v>1</v>
      </c>
      <c r="C9" s="10" t="s">
        <v>0</v>
      </c>
      <c r="D9" s="11" t="s">
        <v>1</v>
      </c>
      <c r="E9" s="9" t="s">
        <v>44</v>
      </c>
      <c r="F9" s="9" t="s">
        <v>43</v>
      </c>
      <c r="G9" s="11" t="s">
        <v>1</v>
      </c>
      <c r="H9" s="12" t="s">
        <v>0</v>
      </c>
      <c r="I9" s="10" t="s">
        <v>1</v>
      </c>
      <c r="J9" s="12" t="s">
        <v>0</v>
      </c>
      <c r="K9" s="70"/>
      <c r="L9" s="71"/>
      <c r="M9"/>
      <c r="N9"/>
      <c r="P9" s="51" t="s">
        <v>18</v>
      </c>
    </row>
    <row r="10" spans="1:16" s="25" customFormat="1" x14ac:dyDescent="0.45">
      <c r="A10" s="20" t="s">
        <v>22</v>
      </c>
      <c r="B10" s="21">
        <f t="shared" ref="B10:C29" si="0">(B$7-B$7*$I$3*$P10)*$I$2/1000</f>
        <v>878.68700000000001</v>
      </c>
      <c r="C10" s="22">
        <f t="shared" si="0"/>
        <v>878.68700000000001</v>
      </c>
      <c r="D10" s="37">
        <f t="shared" ref="D10:D29" si="1">(B$7-B$7*$I$3*$P10)-$L$5</f>
        <v>12739</v>
      </c>
      <c r="E10" s="37">
        <f t="shared" ref="E10:E29" si="2">IF(D10&gt;0,(C$7-C$7*$I$3*$P10),(C$7-C$7*$I$3*$P10)+D10)</f>
        <v>16579</v>
      </c>
      <c r="F10" s="37">
        <f t="shared" ref="F10:F29" si="3">C$7-C$7*$I$3*$P10</f>
        <v>16579</v>
      </c>
      <c r="G10" s="23">
        <f>D10*$L$3</f>
        <v>3231.1942708333336</v>
      </c>
      <c r="H10" s="22">
        <f>E10*$L$3</f>
        <v>4205.1942708333336</v>
      </c>
      <c r="I10" s="21">
        <f t="shared" ref="I10:I29" si="4">$I$4*B$6/20</f>
        <v>1487.5</v>
      </c>
      <c r="J10" s="22">
        <f t="shared" ref="J10:J29" si="5">$I$4*C$6/20</f>
        <v>1487.5</v>
      </c>
      <c r="K10" s="24">
        <f t="shared" ref="K10:K29" si="6">B10+C10+G10+H10-I10-J10</f>
        <v>6218.7625416666669</v>
      </c>
      <c r="L10" s="66" t="str">
        <f>IF(SUM($B$10:B10,$G$10:G10,$C$10:C10,$H$10:H10)+$K$31&gt;$I$30,"YES","no")</f>
        <v>no</v>
      </c>
      <c r="P10" s="50">
        <v>0</v>
      </c>
    </row>
    <row r="11" spans="1:16" s="25" customFormat="1" x14ac:dyDescent="0.45">
      <c r="A11" s="20" t="s">
        <v>23</v>
      </c>
      <c r="B11" s="21">
        <f t="shared" si="0"/>
        <v>869.90012999999999</v>
      </c>
      <c r="C11" s="22">
        <f t="shared" si="0"/>
        <v>869.90012999999999</v>
      </c>
      <c r="D11" s="37">
        <f t="shared" si="1"/>
        <v>12573.21</v>
      </c>
      <c r="E11" s="37">
        <f t="shared" si="2"/>
        <v>16413.21</v>
      </c>
      <c r="F11" s="37">
        <f t="shared" si="3"/>
        <v>16413.21</v>
      </c>
      <c r="G11" s="23">
        <f t="shared" ref="G11:H28" si="7">D11*$L$3</f>
        <v>3189.1423281249999</v>
      </c>
      <c r="H11" s="22">
        <f t="shared" si="7"/>
        <v>4163.1423281249999</v>
      </c>
      <c r="I11" s="21">
        <f t="shared" si="4"/>
        <v>1487.5</v>
      </c>
      <c r="J11" s="22">
        <f t="shared" si="5"/>
        <v>1487.5</v>
      </c>
      <c r="K11" s="24">
        <f t="shared" si="6"/>
        <v>6117.0849162499999</v>
      </c>
      <c r="L11" s="24" t="str">
        <f>IF(SUM($B$10:B11,$G$10:G11,$C$10:C11,$H$10:H11)+$K$31&gt;$I$30,"YES","no")</f>
        <v>no</v>
      </c>
      <c r="P11" s="50">
        <v>1</v>
      </c>
    </row>
    <row r="12" spans="1:16" s="25" customFormat="1" x14ac:dyDescent="0.45">
      <c r="A12" s="20" t="s">
        <v>24</v>
      </c>
      <c r="B12" s="21">
        <f t="shared" si="0"/>
        <v>861.11325999999997</v>
      </c>
      <c r="C12" s="22">
        <f t="shared" si="0"/>
        <v>861.11325999999997</v>
      </c>
      <c r="D12" s="37">
        <f t="shared" si="1"/>
        <v>12407.42</v>
      </c>
      <c r="E12" s="37">
        <f t="shared" si="2"/>
        <v>16247.42</v>
      </c>
      <c r="F12" s="37">
        <f t="shared" si="3"/>
        <v>16247.42</v>
      </c>
      <c r="G12" s="23">
        <f t="shared" si="7"/>
        <v>3147.0903854166668</v>
      </c>
      <c r="H12" s="22">
        <f t="shared" si="7"/>
        <v>4121.0903854166672</v>
      </c>
      <c r="I12" s="21">
        <f t="shared" si="4"/>
        <v>1487.5</v>
      </c>
      <c r="J12" s="22">
        <f t="shared" si="5"/>
        <v>1487.5</v>
      </c>
      <c r="K12" s="24">
        <f t="shared" si="6"/>
        <v>6015.4072908333328</v>
      </c>
      <c r="L12" s="24" t="str">
        <f>IF(SUM($B$10:B12,$G$10:G12,$C$10:C12,$H$10:H12)+$K$31&gt;$I$30,"YES","no")</f>
        <v>no</v>
      </c>
      <c r="P12" s="50">
        <v>2</v>
      </c>
    </row>
    <row r="13" spans="1:16" s="25" customFormat="1" x14ac:dyDescent="0.45">
      <c r="A13" s="20" t="s">
        <v>25</v>
      </c>
      <c r="B13" s="21">
        <f t="shared" si="0"/>
        <v>852.32639000000006</v>
      </c>
      <c r="C13" s="22">
        <f t="shared" si="0"/>
        <v>852.32639000000006</v>
      </c>
      <c r="D13" s="37">
        <f t="shared" si="1"/>
        <v>12241.63</v>
      </c>
      <c r="E13" s="37">
        <f t="shared" si="2"/>
        <v>16081.63</v>
      </c>
      <c r="F13" s="37">
        <f t="shared" si="3"/>
        <v>16081.63</v>
      </c>
      <c r="G13" s="23">
        <f t="shared" si="7"/>
        <v>3105.0384427083332</v>
      </c>
      <c r="H13" s="22">
        <f t="shared" si="7"/>
        <v>4079.0384427083332</v>
      </c>
      <c r="I13" s="21">
        <f t="shared" si="4"/>
        <v>1487.5</v>
      </c>
      <c r="J13" s="22">
        <f t="shared" si="5"/>
        <v>1487.5</v>
      </c>
      <c r="K13" s="24">
        <f t="shared" si="6"/>
        <v>5913.7296654166657</v>
      </c>
      <c r="L13" s="24" t="str">
        <f>IF(SUM($B$10:B13,$G$10:G13,$C$10:C13,$H$10:H13)+$K$31&gt;$I$30,"YES","no")</f>
        <v>YES</v>
      </c>
      <c r="P13" s="50">
        <v>3</v>
      </c>
    </row>
    <row r="14" spans="1:16" s="25" customFormat="1" x14ac:dyDescent="0.45">
      <c r="A14" s="20" t="s">
        <v>26</v>
      </c>
      <c r="B14" s="21">
        <f t="shared" si="0"/>
        <v>843.53952000000004</v>
      </c>
      <c r="C14" s="22">
        <f t="shared" si="0"/>
        <v>843.53952000000004</v>
      </c>
      <c r="D14" s="37">
        <f t="shared" si="1"/>
        <v>12075.84</v>
      </c>
      <c r="E14" s="37">
        <f t="shared" si="2"/>
        <v>15915.84</v>
      </c>
      <c r="F14" s="37">
        <f t="shared" si="3"/>
        <v>15915.84</v>
      </c>
      <c r="G14" s="23">
        <f t="shared" si="7"/>
        <v>3062.9865000000004</v>
      </c>
      <c r="H14" s="22">
        <f t="shared" si="7"/>
        <v>4036.9865000000004</v>
      </c>
      <c r="I14" s="21">
        <f t="shared" si="4"/>
        <v>1487.5</v>
      </c>
      <c r="J14" s="22">
        <f t="shared" si="5"/>
        <v>1487.5</v>
      </c>
      <c r="K14" s="24">
        <f t="shared" si="6"/>
        <v>5812.0520400000005</v>
      </c>
      <c r="L14" s="24" t="str">
        <f>IF(SUM($B$10:B14,$G$10:G14,$C$10:C14,$H$10:H14)+$K$31&gt;$I$30,"YES","no")</f>
        <v>YES</v>
      </c>
      <c r="P14" s="50">
        <v>4</v>
      </c>
    </row>
    <row r="15" spans="1:16" s="25" customFormat="1" x14ac:dyDescent="0.45">
      <c r="A15" s="20" t="s">
        <v>27</v>
      </c>
      <c r="B15" s="21">
        <f t="shared" si="0"/>
        <v>834.7526499999999</v>
      </c>
      <c r="C15" s="22">
        <f t="shared" si="0"/>
        <v>834.7526499999999</v>
      </c>
      <c r="D15" s="37">
        <f t="shared" si="1"/>
        <v>11910.05</v>
      </c>
      <c r="E15" s="37">
        <f t="shared" si="2"/>
        <v>15750.05</v>
      </c>
      <c r="F15" s="37">
        <f t="shared" si="3"/>
        <v>15750.05</v>
      </c>
      <c r="G15" s="23">
        <f t="shared" si="7"/>
        <v>3020.9345572916668</v>
      </c>
      <c r="H15" s="22">
        <f t="shared" si="7"/>
        <v>3994.9345572916668</v>
      </c>
      <c r="I15" s="21">
        <f t="shared" si="4"/>
        <v>1487.5</v>
      </c>
      <c r="J15" s="22">
        <f t="shared" si="5"/>
        <v>1487.5</v>
      </c>
      <c r="K15" s="24">
        <f t="shared" si="6"/>
        <v>5710.3744145833334</v>
      </c>
      <c r="L15" s="24" t="str">
        <f>IF(SUM($B$10:B15,$G$10:G15,$C$10:C15,$H$10:H15)+$K$31&gt;$I$30,"YES","no")</f>
        <v>YES</v>
      </c>
      <c r="P15" s="50">
        <v>5</v>
      </c>
    </row>
    <row r="16" spans="1:16" s="25" customFormat="1" x14ac:dyDescent="0.45">
      <c r="A16" s="20" t="s">
        <v>28</v>
      </c>
      <c r="B16" s="21">
        <f t="shared" si="0"/>
        <v>825.96578</v>
      </c>
      <c r="C16" s="22">
        <f t="shared" si="0"/>
        <v>825.96578</v>
      </c>
      <c r="D16" s="37">
        <f t="shared" si="1"/>
        <v>11744.26</v>
      </c>
      <c r="E16" s="37">
        <f t="shared" si="2"/>
        <v>15584.26</v>
      </c>
      <c r="F16" s="37">
        <f t="shared" si="3"/>
        <v>15584.26</v>
      </c>
      <c r="G16" s="23">
        <f t="shared" si="7"/>
        <v>2978.8826145833336</v>
      </c>
      <c r="H16" s="22">
        <f t="shared" si="7"/>
        <v>3952.8826145833336</v>
      </c>
      <c r="I16" s="21">
        <f t="shared" si="4"/>
        <v>1487.5</v>
      </c>
      <c r="J16" s="22">
        <f t="shared" si="5"/>
        <v>1487.5</v>
      </c>
      <c r="K16" s="24">
        <f t="shared" si="6"/>
        <v>5608.6967891666682</v>
      </c>
      <c r="L16" s="24" t="str">
        <f>IF(SUM($B$10:B16,$G$10:G16,$C$10:C16,$H$10:H16)+$K$31&gt;$I$30,"YES","no")</f>
        <v>YES</v>
      </c>
      <c r="P16" s="50">
        <v>6</v>
      </c>
    </row>
    <row r="17" spans="1:16" s="25" customFormat="1" x14ac:dyDescent="0.45">
      <c r="A17" s="20" t="s">
        <v>29</v>
      </c>
      <c r="B17" s="21">
        <f t="shared" si="0"/>
        <v>817.17890999999986</v>
      </c>
      <c r="C17" s="22">
        <f t="shared" si="0"/>
        <v>817.17890999999986</v>
      </c>
      <c r="D17" s="37">
        <f t="shared" si="1"/>
        <v>11578.47</v>
      </c>
      <c r="E17" s="37">
        <f t="shared" si="2"/>
        <v>15418.47</v>
      </c>
      <c r="F17" s="37">
        <f t="shared" si="3"/>
        <v>15418.47</v>
      </c>
      <c r="G17" s="23">
        <f t="shared" si="7"/>
        <v>2936.830671875</v>
      </c>
      <c r="H17" s="22">
        <f t="shared" si="7"/>
        <v>3910.830671875</v>
      </c>
      <c r="I17" s="21">
        <f t="shared" si="4"/>
        <v>1487.5</v>
      </c>
      <c r="J17" s="22">
        <f t="shared" si="5"/>
        <v>1487.5</v>
      </c>
      <c r="K17" s="24">
        <f t="shared" si="6"/>
        <v>5507.0191637499993</v>
      </c>
      <c r="L17" s="24" t="str">
        <f>IF(SUM($B$10:B17,$G$10:G17,$C$10:C17,$H$10:H17)+$K$31&gt;$I$30,"YES","no")</f>
        <v>YES</v>
      </c>
      <c r="P17" s="50">
        <v>7</v>
      </c>
    </row>
    <row r="18" spans="1:16" s="25" customFormat="1" x14ac:dyDescent="0.45">
      <c r="A18" s="20" t="s">
        <v>30</v>
      </c>
      <c r="B18" s="21">
        <f t="shared" si="0"/>
        <v>808.39204000000007</v>
      </c>
      <c r="C18" s="22">
        <f t="shared" si="0"/>
        <v>808.39204000000007</v>
      </c>
      <c r="D18" s="37">
        <f t="shared" si="1"/>
        <v>11412.68</v>
      </c>
      <c r="E18" s="37">
        <f t="shared" si="2"/>
        <v>15252.68</v>
      </c>
      <c r="F18" s="37">
        <f t="shared" si="3"/>
        <v>15252.68</v>
      </c>
      <c r="G18" s="23">
        <f t="shared" si="7"/>
        <v>2894.7787291666668</v>
      </c>
      <c r="H18" s="22">
        <f t="shared" si="7"/>
        <v>3868.7787291666668</v>
      </c>
      <c r="I18" s="21">
        <f t="shared" si="4"/>
        <v>1487.5</v>
      </c>
      <c r="J18" s="22">
        <f t="shared" si="5"/>
        <v>1487.5</v>
      </c>
      <c r="K18" s="24">
        <f t="shared" si="6"/>
        <v>5405.341538333334</v>
      </c>
      <c r="L18" s="24" t="str">
        <f>IF(SUM($B$10:B18,$G$10:G18,$C$10:C18,$H$10:H18)+$K$31&gt;$I$30,"YES","no")</f>
        <v>YES</v>
      </c>
      <c r="P18" s="50">
        <v>8</v>
      </c>
    </row>
    <row r="19" spans="1:16" s="25" customFormat="1" x14ac:dyDescent="0.45">
      <c r="A19" s="20" t="s">
        <v>31</v>
      </c>
      <c r="B19" s="21">
        <f t="shared" si="0"/>
        <v>799.60516999999993</v>
      </c>
      <c r="C19" s="22">
        <f t="shared" si="0"/>
        <v>799.60516999999993</v>
      </c>
      <c r="D19" s="37">
        <f t="shared" si="1"/>
        <v>11246.89</v>
      </c>
      <c r="E19" s="37">
        <f t="shared" si="2"/>
        <v>15086.89</v>
      </c>
      <c r="F19" s="37">
        <f t="shared" si="3"/>
        <v>15086.89</v>
      </c>
      <c r="G19" s="23">
        <f t="shared" si="7"/>
        <v>2852.7267864583332</v>
      </c>
      <c r="H19" s="22">
        <f t="shared" si="7"/>
        <v>3826.7267864583332</v>
      </c>
      <c r="I19" s="21">
        <f t="shared" si="4"/>
        <v>1487.5</v>
      </c>
      <c r="J19" s="22">
        <f t="shared" si="5"/>
        <v>1487.5</v>
      </c>
      <c r="K19" s="24">
        <f t="shared" si="6"/>
        <v>5303.663912916667</v>
      </c>
      <c r="L19" s="24" t="str">
        <f>IF(SUM($B$10:B19,$G$10:G19,$C$10:C19,$H$10:H19)+$K$31&gt;$I$30,"YES","no")</f>
        <v>YES</v>
      </c>
      <c r="P19" s="50">
        <v>9</v>
      </c>
    </row>
    <row r="20" spans="1:16" s="25" customFormat="1" x14ac:dyDescent="0.45">
      <c r="A20" s="20" t="s">
        <v>32</v>
      </c>
      <c r="B20" s="21">
        <f t="shared" si="0"/>
        <v>790.81830000000002</v>
      </c>
      <c r="C20" s="22">
        <f t="shared" si="0"/>
        <v>790.81830000000002</v>
      </c>
      <c r="D20" s="37">
        <f t="shared" si="1"/>
        <v>11081.1</v>
      </c>
      <c r="E20" s="37">
        <f t="shared" si="2"/>
        <v>14921.1</v>
      </c>
      <c r="F20" s="37">
        <f t="shared" si="3"/>
        <v>14921.1</v>
      </c>
      <c r="G20" s="23">
        <f t="shared" si="7"/>
        <v>2810.67484375</v>
      </c>
      <c r="H20" s="22">
        <f t="shared" si="7"/>
        <v>3784.6748437500005</v>
      </c>
      <c r="I20" s="21">
        <f t="shared" si="4"/>
        <v>1487.5</v>
      </c>
      <c r="J20" s="22">
        <f t="shared" si="5"/>
        <v>1487.5</v>
      </c>
      <c r="K20" s="24">
        <f t="shared" si="6"/>
        <v>5201.9862874999999</v>
      </c>
      <c r="L20" s="24" t="str">
        <f>IF(SUM($B$10:B20,$G$10:G20,$C$10:C20,$H$10:H20)+$K$31&gt;$I$30,"YES","no")</f>
        <v>YES</v>
      </c>
      <c r="P20" s="50">
        <v>10</v>
      </c>
    </row>
    <row r="21" spans="1:16" s="25" customFormat="1" x14ac:dyDescent="0.45">
      <c r="A21" s="20" t="s">
        <v>33</v>
      </c>
      <c r="B21" s="21">
        <f t="shared" si="0"/>
        <v>782.03142999999989</v>
      </c>
      <c r="C21" s="22">
        <f t="shared" si="0"/>
        <v>782.03142999999989</v>
      </c>
      <c r="D21" s="37">
        <f t="shared" si="1"/>
        <v>10915.31</v>
      </c>
      <c r="E21" s="37">
        <f t="shared" si="2"/>
        <v>14755.31</v>
      </c>
      <c r="F21" s="37">
        <f t="shared" si="3"/>
        <v>14755.31</v>
      </c>
      <c r="G21" s="23">
        <f t="shared" si="7"/>
        <v>2768.6229010416669</v>
      </c>
      <c r="H21" s="22">
        <f t="shared" si="7"/>
        <v>3742.6229010416669</v>
      </c>
      <c r="I21" s="21">
        <f t="shared" si="4"/>
        <v>1487.5</v>
      </c>
      <c r="J21" s="22">
        <f t="shared" si="5"/>
        <v>1487.5</v>
      </c>
      <c r="K21" s="24">
        <f t="shared" si="6"/>
        <v>5100.3086620833328</v>
      </c>
      <c r="L21" s="24" t="str">
        <f>IF(SUM($B$10:B21,$G$10:G21,$C$10:C21,$H$10:H21)+$K$31&gt;$I$30,"YES","no")</f>
        <v>YES</v>
      </c>
      <c r="P21" s="50">
        <v>11</v>
      </c>
    </row>
    <row r="22" spans="1:16" s="25" customFormat="1" x14ac:dyDescent="0.45">
      <c r="A22" s="20" t="s">
        <v>34</v>
      </c>
      <c r="B22" s="21">
        <f t="shared" si="0"/>
        <v>773.24456000000009</v>
      </c>
      <c r="C22" s="22">
        <f t="shared" si="0"/>
        <v>773.24456000000009</v>
      </c>
      <c r="D22" s="37">
        <f t="shared" si="1"/>
        <v>10749.52</v>
      </c>
      <c r="E22" s="37">
        <f t="shared" si="2"/>
        <v>14589.52</v>
      </c>
      <c r="F22" s="37">
        <f t="shared" si="3"/>
        <v>14589.52</v>
      </c>
      <c r="G22" s="23">
        <f t="shared" si="7"/>
        <v>2726.5709583333337</v>
      </c>
      <c r="H22" s="22">
        <f t="shared" si="7"/>
        <v>3700.5709583333337</v>
      </c>
      <c r="I22" s="21">
        <f t="shared" si="4"/>
        <v>1487.5</v>
      </c>
      <c r="J22" s="22">
        <f t="shared" si="5"/>
        <v>1487.5</v>
      </c>
      <c r="K22" s="24">
        <f t="shared" si="6"/>
        <v>4998.6310366666676</v>
      </c>
      <c r="L22" s="24" t="str">
        <f>IF(SUM($B$10:B22,$G$10:G22,$C$10:C22,$H$10:H22)+$K$31&gt;$I$30,"YES","no")</f>
        <v>YES</v>
      </c>
      <c r="P22" s="50">
        <v>12</v>
      </c>
    </row>
    <row r="23" spans="1:16" s="25" customFormat="1" x14ac:dyDescent="0.45">
      <c r="A23" s="20" t="s">
        <v>35</v>
      </c>
      <c r="B23" s="21">
        <f t="shared" si="0"/>
        <v>764.45768999999996</v>
      </c>
      <c r="C23" s="22">
        <f t="shared" si="0"/>
        <v>764.45768999999996</v>
      </c>
      <c r="D23" s="37">
        <f t="shared" si="1"/>
        <v>10583.73</v>
      </c>
      <c r="E23" s="37">
        <f t="shared" si="2"/>
        <v>14423.73</v>
      </c>
      <c r="F23" s="37">
        <f t="shared" si="3"/>
        <v>14423.73</v>
      </c>
      <c r="G23" s="23">
        <f t="shared" si="7"/>
        <v>2684.5190156250001</v>
      </c>
      <c r="H23" s="22">
        <f t="shared" si="7"/>
        <v>3658.5190156250001</v>
      </c>
      <c r="I23" s="21">
        <f t="shared" si="4"/>
        <v>1487.5</v>
      </c>
      <c r="J23" s="22">
        <f t="shared" si="5"/>
        <v>1487.5</v>
      </c>
      <c r="K23" s="24">
        <f t="shared" si="6"/>
        <v>4896.9534112499996</v>
      </c>
      <c r="L23" s="24" t="str">
        <f>IF(SUM($B$10:B23,$G$10:G23,$C$10:C23,$H$10:H23)+$K$31&gt;$I$30,"YES","no")</f>
        <v>YES</v>
      </c>
      <c r="P23" s="50">
        <v>13</v>
      </c>
    </row>
    <row r="24" spans="1:16" s="25" customFormat="1" x14ac:dyDescent="0.45">
      <c r="A24" s="20" t="s">
        <v>36</v>
      </c>
      <c r="B24" s="21">
        <f t="shared" si="0"/>
        <v>755.67082000000005</v>
      </c>
      <c r="C24" s="22">
        <f t="shared" si="0"/>
        <v>755.67082000000005</v>
      </c>
      <c r="D24" s="37">
        <f t="shared" si="1"/>
        <v>10417.94</v>
      </c>
      <c r="E24" s="37">
        <f t="shared" si="2"/>
        <v>14257.94</v>
      </c>
      <c r="F24" s="37">
        <f t="shared" si="3"/>
        <v>14257.94</v>
      </c>
      <c r="G24" s="23">
        <f t="shared" si="7"/>
        <v>2642.4670729166669</v>
      </c>
      <c r="H24" s="22">
        <f t="shared" si="7"/>
        <v>3616.4670729166669</v>
      </c>
      <c r="I24" s="21">
        <f t="shared" si="4"/>
        <v>1487.5</v>
      </c>
      <c r="J24" s="22">
        <f t="shared" si="5"/>
        <v>1487.5</v>
      </c>
      <c r="K24" s="24">
        <f t="shared" si="6"/>
        <v>4795.2757858333334</v>
      </c>
      <c r="L24" s="24" t="str">
        <f>IF(SUM($B$10:B24,$G$10:G24,$C$10:C24,$H$10:H24)+$K$31&gt;$I$30,"YES","no")</f>
        <v>YES</v>
      </c>
      <c r="P24" s="50">
        <v>14</v>
      </c>
    </row>
    <row r="25" spans="1:16" s="25" customFormat="1" x14ac:dyDescent="0.45">
      <c r="A25" s="20" t="s">
        <v>37</v>
      </c>
      <c r="B25" s="21">
        <f t="shared" si="0"/>
        <v>746.88394999999991</v>
      </c>
      <c r="C25" s="22">
        <f t="shared" si="0"/>
        <v>746.88394999999991</v>
      </c>
      <c r="D25" s="37">
        <f t="shared" si="1"/>
        <v>10252.15</v>
      </c>
      <c r="E25" s="37">
        <f t="shared" si="2"/>
        <v>14092.15</v>
      </c>
      <c r="F25" s="37">
        <f t="shared" si="3"/>
        <v>14092.15</v>
      </c>
      <c r="G25" s="23">
        <f t="shared" si="7"/>
        <v>2600.4151302083333</v>
      </c>
      <c r="H25" s="22">
        <f t="shared" si="7"/>
        <v>3574.4151302083333</v>
      </c>
      <c r="I25" s="21">
        <f t="shared" si="4"/>
        <v>1487.5</v>
      </c>
      <c r="J25" s="22">
        <f t="shared" si="5"/>
        <v>1487.5</v>
      </c>
      <c r="K25" s="24">
        <f t="shared" si="6"/>
        <v>4693.5981604166664</v>
      </c>
      <c r="L25" s="24" t="str">
        <f>IF(SUM($B$10:B25,$G$10:G25,$C$10:C25,$H$10:H25)+$K$31&gt;$I$30,"YES","no")</f>
        <v>YES</v>
      </c>
      <c r="P25" s="50">
        <v>15</v>
      </c>
    </row>
    <row r="26" spans="1:16" s="25" customFormat="1" x14ac:dyDescent="0.45">
      <c r="A26" s="20" t="s">
        <v>38</v>
      </c>
      <c r="B26" s="21">
        <f t="shared" si="0"/>
        <v>738.09708000000012</v>
      </c>
      <c r="C26" s="22">
        <f t="shared" si="0"/>
        <v>738.09708000000012</v>
      </c>
      <c r="D26" s="37">
        <f t="shared" si="1"/>
        <v>10086.36</v>
      </c>
      <c r="E26" s="37">
        <f t="shared" si="2"/>
        <v>13926.36</v>
      </c>
      <c r="F26" s="37">
        <f t="shared" si="3"/>
        <v>13926.36</v>
      </c>
      <c r="G26" s="23">
        <f t="shared" si="7"/>
        <v>2558.3631875000001</v>
      </c>
      <c r="H26" s="22">
        <f t="shared" si="7"/>
        <v>3532.3631875000005</v>
      </c>
      <c r="I26" s="21">
        <f t="shared" si="4"/>
        <v>1487.5</v>
      </c>
      <c r="J26" s="22">
        <f t="shared" si="5"/>
        <v>1487.5</v>
      </c>
      <c r="K26" s="24">
        <f t="shared" si="6"/>
        <v>4591.9205350000011</v>
      </c>
      <c r="L26" s="24" t="str">
        <f>IF(SUM($B$10:B26,$G$10:G26,$C$10:C26,$H$10:H26)+$K$31&gt;$I$30,"YES","no")</f>
        <v>YES</v>
      </c>
      <c r="P26" s="50">
        <v>16</v>
      </c>
    </row>
    <row r="27" spans="1:16" s="25" customFormat="1" x14ac:dyDescent="0.45">
      <c r="A27" s="20" t="s">
        <v>39</v>
      </c>
      <c r="B27" s="21">
        <f t="shared" si="0"/>
        <v>729.31020999999998</v>
      </c>
      <c r="C27" s="22">
        <f t="shared" si="0"/>
        <v>729.31020999999998</v>
      </c>
      <c r="D27" s="37">
        <f t="shared" si="1"/>
        <v>9920.57</v>
      </c>
      <c r="E27" s="37">
        <f t="shared" si="2"/>
        <v>13760.57</v>
      </c>
      <c r="F27" s="37">
        <f t="shared" si="3"/>
        <v>13760.57</v>
      </c>
      <c r="G27" s="23">
        <f t="shared" si="7"/>
        <v>2516.3112447916669</v>
      </c>
      <c r="H27" s="22">
        <f t="shared" si="7"/>
        <v>3490.3112447916669</v>
      </c>
      <c r="I27" s="21">
        <f t="shared" si="4"/>
        <v>1487.5</v>
      </c>
      <c r="J27" s="22">
        <f t="shared" si="5"/>
        <v>1487.5</v>
      </c>
      <c r="K27" s="24">
        <f t="shared" si="6"/>
        <v>4490.242909583334</v>
      </c>
      <c r="L27" s="24" t="str">
        <f>IF(SUM($B$10:B27,$G$10:G27,$C$10:C27,$H$10:H27)+$K$31&gt;$I$30,"YES","no")</f>
        <v>YES</v>
      </c>
      <c r="P27" s="50">
        <v>17</v>
      </c>
    </row>
    <row r="28" spans="1:16" s="25" customFormat="1" x14ac:dyDescent="0.45">
      <c r="A28" s="20" t="s">
        <v>40</v>
      </c>
      <c r="B28" s="21">
        <f t="shared" si="0"/>
        <v>720.52334000000008</v>
      </c>
      <c r="C28" s="22">
        <f t="shared" si="0"/>
        <v>720.52334000000008</v>
      </c>
      <c r="D28" s="37">
        <f t="shared" si="1"/>
        <v>9754.7800000000007</v>
      </c>
      <c r="E28" s="37">
        <f t="shared" si="2"/>
        <v>13594.78</v>
      </c>
      <c r="F28" s="37">
        <f t="shared" si="3"/>
        <v>13594.78</v>
      </c>
      <c r="G28" s="23">
        <f t="shared" si="7"/>
        <v>2474.2593020833338</v>
      </c>
      <c r="H28" s="22">
        <f t="shared" si="7"/>
        <v>3448.2593020833338</v>
      </c>
      <c r="I28" s="21">
        <f t="shared" si="4"/>
        <v>1487.5</v>
      </c>
      <c r="J28" s="22">
        <f t="shared" si="5"/>
        <v>1487.5</v>
      </c>
      <c r="K28" s="24">
        <f t="shared" si="6"/>
        <v>4388.5652841666679</v>
      </c>
      <c r="L28" s="24" t="str">
        <f>IF(SUM($B$10:B28,$G$10:G28,$C$10:C28,$H$10:H28)+$K$31&gt;$I$30,"YES","no")</f>
        <v>YES</v>
      </c>
      <c r="P28" s="50">
        <v>18</v>
      </c>
    </row>
    <row r="29" spans="1:16" s="25" customFormat="1" ht="14.65" thickBot="1" x14ac:dyDescent="0.5">
      <c r="A29" s="26" t="s">
        <v>41</v>
      </c>
      <c r="B29" s="27">
        <f t="shared" si="0"/>
        <v>711.73646999999994</v>
      </c>
      <c r="C29" s="28">
        <f t="shared" si="0"/>
        <v>711.73646999999994</v>
      </c>
      <c r="D29" s="38">
        <f t="shared" si="1"/>
        <v>9588.99</v>
      </c>
      <c r="E29" s="38">
        <f t="shared" si="2"/>
        <v>13428.99</v>
      </c>
      <c r="F29" s="38">
        <f t="shared" si="3"/>
        <v>13428.99</v>
      </c>
      <c r="G29" s="29">
        <f>D29*$L$3</f>
        <v>2432.2073593750001</v>
      </c>
      <c r="H29" s="28">
        <f>E29*$L$3</f>
        <v>3406.2073593750001</v>
      </c>
      <c r="I29" s="27">
        <f t="shared" si="4"/>
        <v>1487.5</v>
      </c>
      <c r="J29" s="28">
        <f t="shared" si="5"/>
        <v>1487.5</v>
      </c>
      <c r="K29" s="30">
        <f t="shared" si="6"/>
        <v>4286.8876587499999</v>
      </c>
      <c r="L29" s="30" t="str">
        <f>IF(SUM($B$10:B29,$G$10:G29,$C$10:C29,$H$10:H29)+$K$31&gt;$I$30,"YES","no")</f>
        <v>YES</v>
      </c>
      <c r="P29" s="50">
        <v>19</v>
      </c>
    </row>
    <row r="30" spans="1:16" s="25" customFormat="1" ht="14.65" thickBot="1" x14ac:dyDescent="0.5">
      <c r="A30" s="41" t="s">
        <v>48</v>
      </c>
      <c r="B30" s="42">
        <f>SUM(B10:B29)</f>
        <v>15904.234699999997</v>
      </c>
      <c r="C30" s="32">
        <f t="shared" ref="C30:J30" si="8">SUM(C10:C29)</f>
        <v>15904.234699999997</v>
      </c>
      <c r="D30" s="39">
        <f t="shared" si="8"/>
        <v>223279.9</v>
      </c>
      <c r="E30" s="39">
        <f t="shared" si="8"/>
        <v>300079.90000000002</v>
      </c>
      <c r="F30" s="39">
        <f t="shared" si="8"/>
        <v>300079.90000000002</v>
      </c>
      <c r="G30" s="32">
        <f t="shared" si="8"/>
        <v>56634.016302083335</v>
      </c>
      <c r="H30" s="32">
        <f t="shared" si="8"/>
        <v>76114.016302083328</v>
      </c>
      <c r="I30" s="32">
        <f t="shared" si="8"/>
        <v>29750</v>
      </c>
      <c r="J30" s="32">
        <f t="shared" si="8"/>
        <v>29750</v>
      </c>
      <c r="K30" s="32">
        <f>SUM(K10:K29)</f>
        <v>105056.50200416667</v>
      </c>
      <c r="L30" s="35" t="s">
        <v>16</v>
      </c>
      <c r="P30" s="50"/>
    </row>
    <row r="31" spans="1:16" s="25" customFormat="1" ht="14.65" thickTop="1" x14ac:dyDescent="0.45">
      <c r="A31" s="31"/>
      <c r="B31"/>
      <c r="C31"/>
      <c r="K31" s="33">
        <f>(I4*B6+I4*C6)*I5</f>
        <v>0</v>
      </c>
      <c r="L31" s="36" t="s">
        <v>17</v>
      </c>
      <c r="P31" s="50"/>
    </row>
    <row r="32" spans="1:16" s="25" customFormat="1" x14ac:dyDescent="0.45">
      <c r="A32" s="31"/>
      <c r="K32" s="34">
        <f>K31+K30</f>
        <v>105056.50200416667</v>
      </c>
      <c r="L32" s="36" t="s">
        <v>47</v>
      </c>
      <c r="P32" s="50"/>
    </row>
    <row r="33" spans="6:6" x14ac:dyDescent="0.45">
      <c r="F33" s="1"/>
    </row>
  </sheetData>
  <mergeCells count="7">
    <mergeCell ref="H1:L1"/>
    <mergeCell ref="B8:C8"/>
    <mergeCell ref="K8:K9"/>
    <mergeCell ref="L8:L9"/>
    <mergeCell ref="D8:F8"/>
    <mergeCell ref="G8:H8"/>
    <mergeCell ref="I8:J8"/>
  </mergeCells>
  <phoneticPr fontId="3" type="noConversion"/>
  <hyperlinks>
    <hyperlink ref="F3" r:id="rId1" xr:uid="{00F890BA-9E76-4545-BF16-E6F7ECF29876}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Olmstead, Thomas (PSC)</dc:creator>
  <cp:lastModifiedBy>Olmstead, Thomas (PSC)</cp:lastModifiedBy>
  <dcterms:created xsi:type="dcterms:W3CDTF">2023-07-06T16:54:10Z</dcterms:created>
  <dcterms:modified xsi:type="dcterms:W3CDTF">2026-08-20T16:41:31Z</dcterms:modified>
</cp:coreProperties>
</file>